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/>
  <bookViews>
    <workbookView xWindow="0" yWindow="0" windowWidth="25065" windowHeight="14655"/>
  </bookViews>
  <sheets>
    <sheet name="Szenariorechner" sheetId="1" r:id="rId1"/>
    <sheet name="Break even Analyse" sheetId="4" r:id="rId2"/>
    <sheet name="NR" sheetId="2" r:id="rId3"/>
  </sheets>
  <definedNames>
    <definedName name="_xlnm.Print_Area" localSheetId="0">Szenariorechner!$A$1:$M$30</definedName>
  </definedNames>
  <calcPr calcId="14562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D18" i="1"/>
  <c r="C18" i="1"/>
  <c r="E44" i="2"/>
  <c r="D44" i="2"/>
  <c r="C32" i="2"/>
  <c r="C24" i="2"/>
  <c r="B6" i="2"/>
  <c r="J3" i="2"/>
  <c r="I3" i="2"/>
  <c r="H3" i="2"/>
  <c r="G3" i="2"/>
  <c r="F3" i="2"/>
  <c r="E3" i="2"/>
  <c r="D3" i="2"/>
  <c r="C3" i="2"/>
  <c r="C17" i="1"/>
  <c r="C21" i="1"/>
  <c r="C22" i="1"/>
  <c r="L20" i="1"/>
  <c r="L18" i="1"/>
  <c r="J17" i="1"/>
  <c r="J21" i="1"/>
  <c r="J22" i="1"/>
  <c r="I17" i="1"/>
  <c r="I21" i="1"/>
  <c r="I22" i="1"/>
  <c r="H17" i="1"/>
  <c r="H21" i="1"/>
  <c r="H22" i="1"/>
  <c r="H16" i="1"/>
  <c r="H23" i="1"/>
  <c r="G17" i="1"/>
  <c r="G21" i="1"/>
  <c r="G22" i="1"/>
  <c r="F17" i="1"/>
  <c r="F21" i="1"/>
  <c r="F22" i="1"/>
  <c r="E17" i="1"/>
  <c r="E21" i="1"/>
  <c r="E22" i="1"/>
  <c r="D17" i="1"/>
  <c r="D21" i="1"/>
  <c r="D22" i="1"/>
  <c r="J16" i="1"/>
  <c r="I16" i="1"/>
  <c r="G16" i="1"/>
  <c r="F16" i="1"/>
  <c r="E16" i="1"/>
  <c r="D16" i="1"/>
  <c r="C16" i="1"/>
  <c r="C23" i="1"/>
  <c r="D14" i="1"/>
  <c r="D15" i="1"/>
  <c r="E14" i="1"/>
  <c r="E15" i="1"/>
  <c r="F14" i="1"/>
  <c r="F15" i="1"/>
  <c r="G14" i="1"/>
  <c r="G15" i="1"/>
  <c r="J14" i="1"/>
  <c r="J15" i="1"/>
  <c r="H14" i="1"/>
  <c r="H15" i="1"/>
  <c r="I14" i="1"/>
  <c r="I15" i="1"/>
  <c r="C14" i="1"/>
  <c r="C15" i="1"/>
  <c r="K19" i="1"/>
  <c r="B12" i="2"/>
  <c r="J19" i="1"/>
  <c r="I19" i="1"/>
  <c r="H19" i="1"/>
  <c r="G19" i="1"/>
  <c r="F19" i="1"/>
  <c r="E19" i="1"/>
  <c r="D19" i="1"/>
  <c r="C19" i="1"/>
  <c r="C1" i="2"/>
  <c r="F23" i="1"/>
  <c r="J24" i="1"/>
  <c r="J25" i="1"/>
  <c r="H28" i="1"/>
  <c r="H24" i="1"/>
  <c r="J28" i="1"/>
  <c r="D28" i="1"/>
  <c r="D24" i="1"/>
  <c r="J23" i="1"/>
  <c r="G23" i="1"/>
  <c r="E28" i="1"/>
  <c r="E24" i="1"/>
  <c r="C28" i="1"/>
  <c r="C24" i="1"/>
  <c r="G28" i="1"/>
  <c r="G24" i="1"/>
  <c r="I28" i="1"/>
  <c r="I24" i="1"/>
  <c r="F28" i="1"/>
  <c r="F24" i="1"/>
  <c r="D23" i="1"/>
  <c r="E23" i="1"/>
  <c r="I23" i="1"/>
  <c r="D1" i="2"/>
  <c r="H1" i="2"/>
  <c r="E1" i="2"/>
  <c r="I1" i="2"/>
  <c r="F1" i="2"/>
  <c r="J1" i="2"/>
  <c r="G1" i="2"/>
  <c r="L19" i="1"/>
  <c r="J26" i="1"/>
  <c r="F25" i="1"/>
  <c r="F26" i="1"/>
  <c r="G25" i="1"/>
  <c r="G26" i="1"/>
  <c r="E25" i="1"/>
  <c r="E26" i="1"/>
  <c r="D25" i="1"/>
  <c r="D26" i="1"/>
  <c r="H25" i="1"/>
  <c r="H26" i="1"/>
  <c r="I25" i="1"/>
  <c r="I26" i="1"/>
  <c r="C25" i="1"/>
  <c r="C26" i="1"/>
  <c r="L1" i="2"/>
  <c r="L26" i="1"/>
  <c r="L25" i="1"/>
  <c r="C9" i="1"/>
  <c r="C10" i="1"/>
  <c r="C7" i="1"/>
  <c r="C8" i="1"/>
</calcChain>
</file>

<file path=xl/sharedStrings.xml><?xml version="1.0" encoding="utf-8"?>
<sst xmlns="http://schemas.openxmlformats.org/spreadsheetml/2006/main" count="55" uniqueCount="47">
  <si>
    <t>Durchschnittlicher Netto-Umsatz pro Apotheke</t>
  </si>
  <si>
    <t>Gesamt</t>
  </si>
  <si>
    <t>Umrechnungsfaktor Rx-Packungen (Umsatz/Durchschnitts-umsatz 2.220000)</t>
  </si>
  <si>
    <t>Zahl der Apotheken mit  Netto-Umsatz bis zu 2,5 Mio. €</t>
  </si>
  <si>
    <t>Netto-Umsatz in € (ohne USt)</t>
  </si>
  <si>
    <t>Rx-Packungen pro Klasse (Rx-Packungen* Apothekenzahl jeweils in der Klasse)</t>
  </si>
  <si>
    <t>Gewinn in € (Betriebs-ergebnis vor Steuern, 6,4% vom Nettoumsatz)</t>
  </si>
  <si>
    <t>Rohertrag (Netto-Umsatz ./. Wareneinsatz i.H.v. 75,8%)</t>
  </si>
  <si>
    <t>Durchschnittliche Rx-Packungszahl pro Apotheke (736 Mio. / 20023)</t>
  </si>
  <si>
    <t>bis 1 Mio. €</t>
  </si>
  <si>
    <t>über 1 Mio. € bis 2 Mio. €</t>
  </si>
  <si>
    <t>über 2 Mio. € bis 3 Mio. €</t>
  </si>
  <si>
    <t>über 3 Mio. €</t>
  </si>
  <si>
    <t>Summe</t>
  </si>
  <si>
    <t>IFH-Umfrage Netto-Umsatz Solitär-Apotheken (5 km Umkreis, Folie36, insgesamt 161 von 1.212 Apotheken, insoweit unveröffentlicht)</t>
  </si>
  <si>
    <t>IFH-Umfrage Anteil Solitär-Apotheken (5 km Umkreis, insoweit unveröffentlicht)</t>
  </si>
  <si>
    <t>IFH-Umfrage Netto-Umsatz Solitär-Apotheken (5 km Umkreis) in Ortschaften unter 5.000 Einwohnern, Folie37)</t>
  </si>
  <si>
    <t>Zahl</t>
  </si>
  <si>
    <t xml:space="preserve">Anteil Apotheken </t>
  </si>
  <si>
    <t>Anzahl Solitärapotheken (5 km-Umkreis, Gesamtzahl 1.711, 8,5% der Apotheken)</t>
  </si>
  <si>
    <t>Gewinn in € inkl. Erhöhung BtM- und Rezeptur (ca. 5.000€ pro Durschnitts-Apotheke)</t>
  </si>
  <si>
    <t>&gt; 2.500.000</t>
  </si>
  <si>
    <t>Apothekenklassen nach Umsatz in EUR</t>
  </si>
  <si>
    <t>Erwarteter Rückgang Markanteil Rx-Packungen</t>
  </si>
  <si>
    <t>Kennzahlen per 31.12.2016</t>
  </si>
  <si>
    <t>Erwarteter Verlust Rx-Packungen</t>
  </si>
  <si>
    <t>Rohertrag neu</t>
  </si>
  <si>
    <t>Gewinn neu in € (€ inkl. Erhöhung BtM- und Rezeptur (ca. 5.000€ pro Durschnitts-Apotheke))</t>
  </si>
  <si>
    <t>Rückgang Rohertrag in €</t>
  </si>
  <si>
    <t>Anzahl gefährdeter Apotheken</t>
  </si>
  <si>
    <t>Szenariorechner zur Bewertung der Auswirkung des Online-Apotheken Versandhandels</t>
  </si>
  <si>
    <t>Rentabilitätsgrenze zur Fortführung in EUR</t>
  </si>
  <si>
    <t>Anzahl Apotheken</t>
  </si>
  <si>
    <t>Rx-Packungen (Durchschnitt pro Apotheke: 36.758)</t>
  </si>
  <si>
    <t>Anzahl gefährdete Apotheken gesamt</t>
  </si>
  <si>
    <t>Prozent gefährdete Apotheken gesamt</t>
  </si>
  <si>
    <t>Anzahl gefährdeter Solitärapotheken</t>
  </si>
  <si>
    <t>Prozent gefährdeter Solitärapotheken</t>
  </si>
  <si>
    <t xml:space="preserve">← </t>
  </si>
  <si>
    <t>Werte festlegen</t>
  </si>
  <si>
    <t>Ergebnis</t>
  </si>
  <si>
    <t>Break-even Gewinn (Diagramm)</t>
  </si>
  <si>
    <t>Break-even Marktanteil Versandhandel (Diagramm)</t>
  </si>
  <si>
    <t>Netto-Umsatz in Euro</t>
  </si>
  <si>
    <t>Steuerliches Betriebsergebnis in Euro (6,4% vom Nettoumsatz)</t>
  </si>
  <si>
    <t>Anteil</t>
  </si>
  <si>
    <t>Umsatzstruktur der 24 Solitärapotheken (5km Umkreis) in der Region Bad Kissingen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</si>
</sst>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0.0"/>
    <numFmt numFmtId="165" formatCode="0.0%"/>
    <numFmt numFmtId="166" formatCode="_-* #,##0\ _€_-;\-* #,##0\ _€_-;_-* &quot;-&quot;??\ _€_-;_-@_-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7">
    <xf numFmtId="0" fontId="0" fillId="0" borderId="0" xfId="0"/>
    <xf numFmtId="0" fontId="1" fillId="3" borderId="0" xfId="0" applyFont="1" applyFill="1" applyAlignment="1">
      <alignment vertical="center"/>
    </xf>
    <xf numFmtId="0" fontId="0" fillId="4" borderId="1" xfId="0" applyFill="1" applyBorder="1" applyAlignment="1">
      <alignment vertical="center" wrapText="1"/>
    </xf>
    <xf numFmtId="3" fontId="0" fillId="0" borderId="1" xfId="0" applyNumberFormat="1" applyBorder="1"/>
    <xf numFmtId="3" fontId="0" fillId="0" borderId="0" xfId="0" applyNumberFormat="1"/>
    <xf numFmtId="2" fontId="0" fillId="0" borderId="0" xfId="0" applyNumberFormat="1"/>
    <xf numFmtId="0" fontId="0" fillId="4" borderId="0" xfId="0" applyFill="1" applyBorder="1" applyAlignment="1">
      <alignment vertical="center" wrapText="1"/>
    </xf>
    <xf numFmtId="164" fontId="0" fillId="0" borderId="0" xfId="0" applyNumberFormat="1"/>
    <xf numFmtId="1" fontId="0" fillId="0" borderId="0" xfId="0" applyNumberFormat="1"/>
    <xf numFmtId="10" fontId="0" fillId="0" borderId="0" xfId="0" applyNumberFormat="1"/>
    <xf numFmtId="0" fontId="0" fillId="0" borderId="0" xfId="0" applyNumberFormat="1"/>
    <xf numFmtId="3" fontId="0" fillId="5" borderId="1" xfId="0" applyNumberFormat="1" applyFill="1" applyBorder="1"/>
    <xf numFmtId="0" fontId="0" fillId="0" borderId="1" xfId="0" applyBorder="1"/>
    <xf numFmtId="0" fontId="5" fillId="0" borderId="0" xfId="0" applyFont="1"/>
    <xf numFmtId="9" fontId="4" fillId="0" borderId="0" xfId="1" applyFont="1"/>
    <xf numFmtId="0" fontId="4" fillId="0" borderId="0" xfId="0" applyFont="1"/>
    <xf numFmtId="165" fontId="0" fillId="0" borderId="1" xfId="1" applyNumberFormat="1" applyFont="1" applyBorder="1"/>
    <xf numFmtId="0" fontId="0" fillId="0" borderId="0" xfId="0"/>
    <xf numFmtId="3" fontId="0" fillId="0" borderId="1" xfId="0" applyNumberFormat="1" applyBorder="1"/>
    <xf numFmtId="0" fontId="2" fillId="5" borderId="3" xfId="0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0" fontId="0" fillId="0" borderId="0" xfId="0" applyFill="1" applyBorder="1"/>
    <xf numFmtId="0" fontId="2" fillId="0" borderId="0" xfId="0" applyFont="1"/>
    <xf numFmtId="0" fontId="1" fillId="0" borderId="0" xfId="0" applyFont="1"/>
    <xf numFmtId="9" fontId="6" fillId="7" borderId="2" xfId="1" applyFont="1" applyFill="1" applyBorder="1"/>
    <xf numFmtId="3" fontId="6" fillId="7" borderId="2" xfId="0" applyNumberFormat="1" applyFont="1" applyFill="1" applyBorder="1"/>
    <xf numFmtId="0" fontId="2" fillId="0" borderId="0" xfId="0" applyFont="1" applyAlignment="1">
      <alignment horizontal="center" vertical="center"/>
    </xf>
    <xf numFmtId="165" fontId="8" fillId="6" borderId="2" xfId="1" applyNumberFormat="1" applyFont="1" applyFill="1" applyBorder="1"/>
    <xf numFmtId="165" fontId="8" fillId="8" borderId="2" xfId="1" applyNumberFormat="1" applyFont="1" applyFill="1" applyBorder="1"/>
    <xf numFmtId="0" fontId="9" fillId="4" borderId="1" xfId="0" applyFont="1" applyFill="1" applyBorder="1" applyAlignment="1">
      <alignment vertical="center" wrapText="1"/>
    </xf>
    <xf numFmtId="10" fontId="9" fillId="0" borderId="1" xfId="1" applyNumberFormat="1" applyFont="1" applyBorder="1"/>
    <xf numFmtId="3" fontId="9" fillId="0" borderId="1" xfId="0" applyNumberFormat="1" applyFont="1" applyBorder="1"/>
    <xf numFmtId="3" fontId="7" fillId="6" borderId="2" xfId="0" applyNumberFormat="1" applyFont="1" applyFill="1" applyBorder="1" applyAlignment="1">
      <alignment horizontal="right" vertical="center"/>
    </xf>
    <xf numFmtId="3" fontId="7" fillId="8" borderId="2" xfId="0" applyNumberFormat="1" applyFont="1" applyFill="1" applyBorder="1" applyAlignment="1">
      <alignment horizontal="right" vertical="center"/>
    </xf>
    <xf numFmtId="0" fontId="0" fillId="9" borderId="1" xfId="0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3" fontId="2" fillId="0" borderId="1" xfId="0" applyNumberFormat="1" applyFont="1" applyBorder="1"/>
    <xf numFmtId="3" fontId="2" fillId="6" borderId="2" xfId="0" applyNumberFormat="1" applyFont="1" applyFill="1" applyBorder="1" applyAlignment="1">
      <alignment horizontal="right"/>
    </xf>
    <xf numFmtId="3" fontId="2" fillId="8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0" fillId="0" borderId="5" xfId="0" applyBorder="1"/>
    <xf numFmtId="10" fontId="0" fillId="0" borderId="5" xfId="1" applyNumberFormat="1" applyFont="1" applyBorder="1"/>
    <xf numFmtId="1" fontId="0" fillId="0" borderId="5" xfId="0" applyNumberFormat="1" applyBorder="1"/>
    <xf numFmtId="0" fontId="0" fillId="0" borderId="7" xfId="0" applyBorder="1"/>
    <xf numFmtId="10" fontId="0" fillId="0" borderId="7" xfId="1" applyNumberFormat="1" applyFont="1" applyBorder="1"/>
    <xf numFmtId="0" fontId="2" fillId="0" borderId="6" xfId="0" applyFont="1" applyBorder="1" applyAlignment="1">
      <alignment vertical="top"/>
    </xf>
    <xf numFmtId="43" fontId="0" fillId="0" borderId="5" xfId="2" applyFont="1" applyBorder="1"/>
    <xf numFmtId="166" fontId="0" fillId="0" borderId="7" xfId="2" applyNumberFormat="1" applyFont="1" applyBorder="1"/>
    <xf numFmtId="166" fontId="0" fillId="0" borderId="5" xfId="2" applyNumberFormat="1" applyFont="1" applyBorder="1"/>
    <xf numFmtId="166" fontId="0" fillId="0" borderId="7" xfId="2" applyNumberFormat="1" applyFont="1" applyBorder="1" applyAlignment="1"/>
    <xf numFmtId="166" fontId="0" fillId="0" borderId="5" xfId="2" applyNumberFormat="1" applyFont="1" applyBorder="1" applyAlignment="1"/>
    <xf numFmtId="0" fontId="2" fillId="0" borderId="6" xfId="0" applyFont="1" applyBorder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4" borderId="8" xfId="0" applyFill="1" applyBorder="1" applyAlignment="1">
      <alignment vertical="center" wrapText="1"/>
    </xf>
    <xf numFmtId="0" fontId="0" fillId="0" borderId="8" xfId="0" applyBorder="1" applyAlignment="1"/>
  </cellXfs>
  <cellStyles count="3">
    <cellStyle name="Komma" xfId="2" builtinId="3"/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2000"/>
              <a:t>Break-even</a:t>
            </a:r>
            <a:r>
              <a:rPr lang="de-DE" sz="2000" baseline="0"/>
              <a:t>-Analyse nach Umsatzklassen </a:t>
            </a:r>
            <a:endParaRPr lang="de-DE" sz="20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6104080573086599"/>
          <c:y val="0.160488157229464"/>
          <c:w val="0.82390824892001102"/>
          <c:h val="0.68614070027904295"/>
        </c:manualLayout>
      </c:layout>
      <c:lineChart>
        <c:grouping val="standard"/>
        <c:varyColors val="0"/>
        <c:ser>
          <c:idx val="1"/>
          <c:order val="0"/>
          <c:tx>
            <c:strRef>
              <c:f>Szenariorechner!$B$27</c:f>
              <c:strCache>
                <c:ptCount val="1"/>
                <c:pt idx="0">
                  <c:v>Break-even Marktanteil Versandhandel (Diagramm)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Szenariorechner!$C$13:$J$13</c:f>
              <c:numCache>
                <c:formatCode>#,##0</c:formatCode>
                <c:ptCount val="8"/>
                <c:pt idx="0">
                  <c:v>750000</c:v>
                </c:pt>
                <c:pt idx="1">
                  <c:v>1000000</c:v>
                </c:pt>
                <c:pt idx="2">
                  <c:v>1250000</c:v>
                </c:pt>
                <c:pt idx="3">
                  <c:v>1500000</c:v>
                </c:pt>
                <c:pt idx="4">
                  <c:v>1750000</c:v>
                </c:pt>
                <c:pt idx="5">
                  <c:v>2000000</c:v>
                </c:pt>
                <c:pt idx="6">
                  <c:v>2250000</c:v>
                </c:pt>
                <c:pt idx="7">
                  <c:v>2500000</c:v>
                </c:pt>
              </c:numCache>
            </c:numRef>
          </c:cat>
          <c:val>
            <c:numRef>
              <c:f>Szenariorechner!$C$27:$J$27</c:f>
              <c:numCache>
                <c:formatCode>0.00%</c:formatCode>
                <c:ptCount val="8"/>
                <c:pt idx="0">
                  <c:v>-2.0555914467092831E-3</c:v>
                </c:pt>
                <c:pt idx="1">
                  <c:v>8.491173899099147E-2</c:v>
                </c:pt>
                <c:pt idx="2">
                  <c:v>0.13709213725365998</c:v>
                </c:pt>
                <c:pt idx="3">
                  <c:v>0.17187906942869216</c:v>
                </c:pt>
                <c:pt idx="4">
                  <c:v>0.19672687812517806</c:v>
                </c:pt>
                <c:pt idx="5">
                  <c:v>0.21536273464754252</c:v>
                </c:pt>
                <c:pt idx="6">
                  <c:v>0.2298572897204926</c:v>
                </c:pt>
                <c:pt idx="7">
                  <c:v>0.24145293377885274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Szenariorechner!$B$27</c:f>
              <c:strCache>
                <c:ptCount val="1"/>
                <c:pt idx="0">
                  <c:v>Break-even Marktanteil Versandhandel (Diagramm)</c:v>
                </c:pt>
              </c:strCache>
            </c:strRef>
          </c:tx>
          <c:spPr>
            <a:ln w="635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Szenariorechner!$C$13:$J$13</c:f>
              <c:numCache>
                <c:formatCode>#,##0</c:formatCode>
                <c:ptCount val="8"/>
                <c:pt idx="0">
                  <c:v>750000</c:v>
                </c:pt>
                <c:pt idx="1">
                  <c:v>1000000</c:v>
                </c:pt>
                <c:pt idx="2">
                  <c:v>1250000</c:v>
                </c:pt>
                <c:pt idx="3">
                  <c:v>1500000</c:v>
                </c:pt>
                <c:pt idx="4">
                  <c:v>1750000</c:v>
                </c:pt>
                <c:pt idx="5">
                  <c:v>2000000</c:v>
                </c:pt>
                <c:pt idx="6">
                  <c:v>2250000</c:v>
                </c:pt>
                <c:pt idx="7">
                  <c:v>2500000</c:v>
                </c:pt>
              </c:numCache>
            </c:numRef>
          </c:cat>
          <c:val>
            <c:numRef>
              <c:f>Szenariorechner!$C$27:$J$27</c:f>
              <c:numCache>
                <c:formatCode>0.00%</c:formatCode>
                <c:ptCount val="8"/>
                <c:pt idx="0">
                  <c:v>-2.0555914467092831E-3</c:v>
                </c:pt>
                <c:pt idx="1">
                  <c:v>8.491173899099147E-2</c:v>
                </c:pt>
                <c:pt idx="2">
                  <c:v>0.13709213725365998</c:v>
                </c:pt>
                <c:pt idx="3">
                  <c:v>0.17187906942869216</c:v>
                </c:pt>
                <c:pt idx="4">
                  <c:v>0.19672687812517806</c:v>
                </c:pt>
                <c:pt idx="5">
                  <c:v>0.21536273464754252</c:v>
                </c:pt>
                <c:pt idx="6">
                  <c:v>0.2298572897204926</c:v>
                </c:pt>
                <c:pt idx="7">
                  <c:v>0.24145293377885274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1854080"/>
        <c:axId val="41856000"/>
      </c:lineChart>
      <c:catAx>
        <c:axId val="41854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600"/>
                  <a:t>Umsatzklasse</a:t>
                </a:r>
                <a:r>
                  <a:rPr lang="de-DE" sz="1600" baseline="0"/>
                  <a:t> Apotheken in kEUR</a:t>
                </a:r>
                <a:endParaRPr lang="de-DE" sz="1600"/>
              </a:p>
            </c:rich>
          </c:tx>
          <c:layout>
            <c:manualLayout>
              <c:xMode val="edge"/>
              <c:yMode val="edge"/>
              <c:x val="0.391350543843339"/>
              <c:y val="0.9290130582792369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,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856000"/>
        <c:crosses val="autoZero"/>
        <c:auto val="1"/>
        <c:lblAlgn val="ctr"/>
        <c:lblOffset val="100"/>
        <c:noMultiLvlLbl val="0"/>
      </c:catAx>
      <c:valAx>
        <c:axId val="418560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800"/>
                  <a:t>Marktanteilsgewinn</a:t>
                </a:r>
                <a:r>
                  <a:rPr lang="de-DE" sz="1800" baseline="0"/>
                  <a:t> Versand</a:t>
                </a:r>
              </a:p>
            </c:rich>
          </c:tx>
          <c:layout>
            <c:manualLayout>
              <c:xMode val="edge"/>
              <c:yMode val="edge"/>
              <c:x val="4.6521103806380797E-2"/>
              <c:y val="0.30543333972913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854080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9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11155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0"/>
  <sheetViews>
    <sheetView showGridLines="0" tabSelected="1" topLeftCell="A10" zoomScaleSheetLayoutView="100" workbookViewId="0">
      <selection activeCell="C13" sqref="C13"/>
    </sheetView>
  </sheetViews>
  <sheetFormatPr baseColWidth="10" defaultRowHeight="15" x14ac:dyDescent="0.25"/>
  <cols>
    <col min="1" max="1" width="5.42578125" customWidth="1"/>
    <col min="2" max="2" width="44.140625" customWidth="1"/>
    <col min="3" max="3" width="15.140625" customWidth="1"/>
    <col min="4" max="11" width="10.7109375" customWidth="1"/>
    <col min="12" max="12" width="12" customWidth="1"/>
    <col min="13" max="13" width="3.7109375" customWidth="1"/>
  </cols>
  <sheetData>
    <row r="1" spans="2:12" x14ac:dyDescent="0.25">
      <c r="I1" s="14">
        <v>0.09</v>
      </c>
      <c r="J1" s="15">
        <v>50000</v>
      </c>
    </row>
    <row r="2" spans="2:12" ht="15.75" x14ac:dyDescent="0.25">
      <c r="B2" s="13" t="s">
        <v>30</v>
      </c>
      <c r="I2" s="14">
        <v>0.17</v>
      </c>
      <c r="J2" s="15">
        <v>48000</v>
      </c>
    </row>
    <row r="3" spans="2:12" ht="15.75" thickBot="1" x14ac:dyDescent="0.3">
      <c r="I3" s="14">
        <v>0.25</v>
      </c>
      <c r="J3" s="15">
        <v>46000</v>
      </c>
    </row>
    <row r="4" spans="2:12" s="22" customFormat="1" ht="22.5" thickTop="1" thickBot="1" x14ac:dyDescent="0.4">
      <c r="B4" s="22" t="s">
        <v>23</v>
      </c>
      <c r="C4" s="24">
        <v>0.25</v>
      </c>
      <c r="D4" s="26" t="s">
        <v>38</v>
      </c>
      <c r="E4" s="53" t="s">
        <v>39</v>
      </c>
      <c r="I4" s="23"/>
      <c r="J4" s="23">
        <v>44000</v>
      </c>
    </row>
    <row r="5" spans="2:12" s="22" customFormat="1" ht="22.5" thickTop="1" thickBot="1" x14ac:dyDescent="0.4">
      <c r="B5" s="22" t="s">
        <v>31</v>
      </c>
      <c r="C5" s="25">
        <v>50000</v>
      </c>
      <c r="D5" s="26" t="s">
        <v>38</v>
      </c>
      <c r="E5" s="53"/>
      <c r="I5" s="23"/>
      <c r="J5" s="23">
        <v>42000</v>
      </c>
    </row>
    <row r="6" spans="2:12" ht="16.5" thickTop="1" thickBot="1" x14ac:dyDescent="0.3">
      <c r="I6" s="15"/>
      <c r="J6" s="15">
        <v>40000</v>
      </c>
    </row>
    <row r="7" spans="2:12" ht="20.25" thickTop="1" thickBot="1" x14ac:dyDescent="0.3">
      <c r="B7" s="22" t="s">
        <v>34</v>
      </c>
      <c r="C7" s="32">
        <f>SUM(C25:K25)</f>
        <v>14096.192000000001</v>
      </c>
      <c r="E7" s="54" t="s">
        <v>40</v>
      </c>
    </row>
    <row r="8" spans="2:12" ht="20.25" thickTop="1" thickBot="1" x14ac:dyDescent="0.35">
      <c r="B8" s="39" t="s">
        <v>35</v>
      </c>
      <c r="C8" s="27">
        <f>+C7/L19</f>
        <v>0.70400000000000007</v>
      </c>
      <c r="E8" s="54"/>
    </row>
    <row r="9" spans="2:12" s="17" customFormat="1" ht="20.25" thickTop="1" thickBot="1" x14ac:dyDescent="0.3">
      <c r="B9" s="22" t="s">
        <v>36</v>
      </c>
      <c r="C9" s="33">
        <f>+SUM(C26:J26)</f>
        <v>1711</v>
      </c>
      <c r="E9" s="54"/>
    </row>
    <row r="10" spans="2:12" s="17" customFormat="1" ht="20.25" thickTop="1" thickBot="1" x14ac:dyDescent="0.35">
      <c r="B10" s="21" t="s">
        <v>37</v>
      </c>
      <c r="C10" s="28">
        <f>+C9/L18</f>
        <v>1</v>
      </c>
      <c r="E10" s="54"/>
    </row>
    <row r="11" spans="2:12" ht="15.75" thickTop="1" x14ac:dyDescent="0.25"/>
    <row r="12" spans="2:12" x14ac:dyDescent="0.25">
      <c r="B12" s="1" t="s">
        <v>24</v>
      </c>
      <c r="C12" s="52" t="s">
        <v>22</v>
      </c>
      <c r="D12" s="52"/>
      <c r="E12" s="52"/>
      <c r="F12" s="52"/>
      <c r="G12" s="52"/>
      <c r="H12" s="52"/>
      <c r="I12" s="52"/>
      <c r="J12" s="52"/>
      <c r="K12" s="52"/>
      <c r="L12" s="19"/>
    </row>
    <row r="13" spans="2:12" ht="30" customHeight="1" x14ac:dyDescent="0.25">
      <c r="B13" s="2" t="s">
        <v>4</v>
      </c>
      <c r="C13" s="11">
        <v>750000</v>
      </c>
      <c r="D13" s="11">
        <v>1000000</v>
      </c>
      <c r="E13" s="11">
        <v>1250000</v>
      </c>
      <c r="F13" s="11">
        <v>1500000</v>
      </c>
      <c r="G13" s="11">
        <v>1750000</v>
      </c>
      <c r="H13" s="11">
        <v>2000000</v>
      </c>
      <c r="I13" s="11">
        <v>2250000</v>
      </c>
      <c r="J13" s="11">
        <v>2500000</v>
      </c>
      <c r="K13" s="11" t="s">
        <v>21</v>
      </c>
      <c r="L13" s="20" t="s">
        <v>1</v>
      </c>
    </row>
    <row r="14" spans="2:12" ht="30" customHeight="1" x14ac:dyDescent="0.25">
      <c r="B14" s="2" t="s">
        <v>6</v>
      </c>
      <c r="C14" s="3">
        <f t="shared" ref="C14:J14" si="0">C13*6.4/100</f>
        <v>48000</v>
      </c>
      <c r="D14" s="3">
        <f t="shared" si="0"/>
        <v>64000</v>
      </c>
      <c r="E14" s="3">
        <f t="shared" si="0"/>
        <v>80000</v>
      </c>
      <c r="F14" s="3">
        <f t="shared" si="0"/>
        <v>96000</v>
      </c>
      <c r="G14" s="3">
        <f t="shared" si="0"/>
        <v>112000</v>
      </c>
      <c r="H14" s="3">
        <f t="shared" si="0"/>
        <v>128000</v>
      </c>
      <c r="I14" s="3">
        <f t="shared" si="0"/>
        <v>144000</v>
      </c>
      <c r="J14" s="3">
        <f t="shared" si="0"/>
        <v>160000</v>
      </c>
      <c r="K14" s="3"/>
      <c r="L14" s="12"/>
    </row>
    <row r="15" spans="2:12" ht="30" customHeight="1" x14ac:dyDescent="0.25">
      <c r="B15" s="2" t="s">
        <v>20</v>
      </c>
      <c r="C15" s="3">
        <f t="shared" ref="C15:J15" si="1">C14+(5000*C13/2200000)</f>
        <v>49704.545454545456</v>
      </c>
      <c r="D15" s="3">
        <f t="shared" si="1"/>
        <v>66272.727272727279</v>
      </c>
      <c r="E15" s="3">
        <f t="shared" si="1"/>
        <v>82840.909090909088</v>
      </c>
      <c r="F15" s="3">
        <f t="shared" si="1"/>
        <v>99409.090909090912</v>
      </c>
      <c r="G15" s="3">
        <f t="shared" si="1"/>
        <v>115977.27272727272</v>
      </c>
      <c r="H15" s="3">
        <f t="shared" si="1"/>
        <v>132545.45454545456</v>
      </c>
      <c r="I15" s="3">
        <f t="shared" si="1"/>
        <v>149113.63636363635</v>
      </c>
      <c r="J15" s="3">
        <f t="shared" si="1"/>
        <v>165681.81818181818</v>
      </c>
      <c r="K15" s="12"/>
      <c r="L15" s="12"/>
    </row>
    <row r="16" spans="2:12" ht="30" customHeight="1" x14ac:dyDescent="0.25">
      <c r="B16" s="2" t="s">
        <v>7</v>
      </c>
      <c r="C16" s="3">
        <f t="shared" ref="C16:J16" si="2">C13-(C13*75.8/100)</f>
        <v>181500</v>
      </c>
      <c r="D16" s="3">
        <f t="shared" si="2"/>
        <v>242000</v>
      </c>
      <c r="E16" s="3">
        <f t="shared" si="2"/>
        <v>302500</v>
      </c>
      <c r="F16" s="3">
        <f t="shared" si="2"/>
        <v>363000</v>
      </c>
      <c r="G16" s="3">
        <f t="shared" si="2"/>
        <v>423500</v>
      </c>
      <c r="H16" s="3">
        <f t="shared" si="2"/>
        <v>484000</v>
      </c>
      <c r="I16" s="3">
        <f t="shared" si="2"/>
        <v>544500</v>
      </c>
      <c r="J16" s="3">
        <f t="shared" si="2"/>
        <v>605000</v>
      </c>
      <c r="K16" s="3"/>
      <c r="L16" s="12"/>
    </row>
    <row r="17" spans="2:12" ht="30" customHeight="1" x14ac:dyDescent="0.25">
      <c r="B17" s="2" t="s">
        <v>33</v>
      </c>
      <c r="C17" s="3">
        <f t="shared" ref="C17:J17" si="3">36758*C13/2200000</f>
        <v>12531.136363636364</v>
      </c>
      <c r="D17" s="3">
        <f t="shared" si="3"/>
        <v>16708.18181818182</v>
      </c>
      <c r="E17" s="3">
        <f t="shared" si="3"/>
        <v>20885.227272727272</v>
      </c>
      <c r="F17" s="3">
        <f t="shared" si="3"/>
        <v>25062.272727272728</v>
      </c>
      <c r="G17" s="3">
        <f t="shared" si="3"/>
        <v>29239.31818181818</v>
      </c>
      <c r="H17" s="3">
        <f t="shared" si="3"/>
        <v>33416.36363636364</v>
      </c>
      <c r="I17" s="3">
        <f t="shared" si="3"/>
        <v>37593.409090909088</v>
      </c>
      <c r="J17" s="3">
        <f t="shared" si="3"/>
        <v>41770.454545454544</v>
      </c>
      <c r="K17" s="3"/>
      <c r="L17" s="18">
        <v>736000000</v>
      </c>
    </row>
    <row r="18" spans="2:12" ht="30" customHeight="1" x14ac:dyDescent="0.25">
      <c r="B18" s="2" t="s">
        <v>19</v>
      </c>
      <c r="C18" s="3">
        <f>NR!E36*1711</f>
        <v>356.40130000000005</v>
      </c>
      <c r="D18" s="3">
        <f>NR!E37*1711</f>
        <v>427.75</v>
      </c>
      <c r="E18" s="3">
        <f>NR!E38*1711</f>
        <v>427.75</v>
      </c>
      <c r="F18" s="3">
        <f>NR!E39*1711</f>
        <v>71.348700000000008</v>
      </c>
      <c r="G18" s="3">
        <f>NR!E40*1711</f>
        <v>142.52629999999999</v>
      </c>
      <c r="H18" s="3">
        <f>NR!E41*1711</f>
        <v>142.52629999999999</v>
      </c>
      <c r="I18" s="3">
        <f>NR!E42*1711</f>
        <v>71.348700000000008</v>
      </c>
      <c r="J18" s="3">
        <f>NR!E43*1711</f>
        <v>71.348700000000008</v>
      </c>
      <c r="K18" s="3"/>
      <c r="L18" s="3">
        <f>SUM(C18:K18)</f>
        <v>1711</v>
      </c>
    </row>
    <row r="19" spans="2:12" ht="30" customHeight="1" x14ac:dyDescent="0.25">
      <c r="B19" s="2" t="s">
        <v>32</v>
      </c>
      <c r="C19" s="3">
        <f>20023*3.1/100</f>
        <v>620.71300000000008</v>
      </c>
      <c r="D19" s="3">
        <f>20023*6.7/100</f>
        <v>1341.5410000000002</v>
      </c>
      <c r="E19" s="3">
        <f>20023*9/100</f>
        <v>1802.07</v>
      </c>
      <c r="F19" s="3">
        <f>20023*10.5/100</f>
        <v>2102.415</v>
      </c>
      <c r="G19" s="3">
        <f>20023*12.2/100</f>
        <v>2442.8059999999996</v>
      </c>
      <c r="H19" s="3">
        <f>20023*10.6/100</f>
        <v>2122.4380000000001</v>
      </c>
      <c r="I19" s="3">
        <f>20023*10.1/100</f>
        <v>2022.3229999999999</v>
      </c>
      <c r="J19" s="3">
        <f>20023*8.2/100</f>
        <v>1641.8859999999997</v>
      </c>
      <c r="K19" s="3">
        <f>20023*(6.7+4.7+3.7+3.7+2.1+1.8+1+0.9+1+0.6+3.4)/100</f>
        <v>5926.8080000000009</v>
      </c>
      <c r="L19" s="3">
        <f>SUM(C19:K19)</f>
        <v>20023</v>
      </c>
    </row>
    <row r="20" spans="2:12" ht="30" customHeight="1" x14ac:dyDescent="0.25">
      <c r="B20" s="2" t="s">
        <v>18</v>
      </c>
      <c r="C20" s="16">
        <v>3.1E-2</v>
      </c>
      <c r="D20" s="16">
        <v>6.7000000000000004E-2</v>
      </c>
      <c r="E20" s="16">
        <v>0.09</v>
      </c>
      <c r="F20" s="16">
        <v>0.105</v>
      </c>
      <c r="G20" s="16">
        <v>0.122</v>
      </c>
      <c r="H20" s="16">
        <v>0.106</v>
      </c>
      <c r="I20" s="16">
        <v>0.10100000000000001</v>
      </c>
      <c r="J20" s="16">
        <v>8.2000000000000003E-2</v>
      </c>
      <c r="K20" s="16">
        <v>0.29599999999999999</v>
      </c>
      <c r="L20" s="16">
        <f>SUM(C20:K20)</f>
        <v>1</v>
      </c>
    </row>
    <row r="21" spans="2:12" ht="30" customHeight="1" x14ac:dyDescent="0.25">
      <c r="B21" s="35" t="s">
        <v>25</v>
      </c>
      <c r="C21" s="36">
        <f>+C17*$C$4</f>
        <v>3132.784090909091</v>
      </c>
      <c r="D21" s="36">
        <f t="shared" ref="D21:J21" si="4">+D17*$C$4</f>
        <v>4177.045454545455</v>
      </c>
      <c r="E21" s="36">
        <f t="shared" si="4"/>
        <v>5221.306818181818</v>
      </c>
      <c r="F21" s="36">
        <f t="shared" si="4"/>
        <v>6265.568181818182</v>
      </c>
      <c r="G21" s="36">
        <f t="shared" si="4"/>
        <v>7309.829545454545</v>
      </c>
      <c r="H21" s="36">
        <f t="shared" si="4"/>
        <v>8354.0909090909099</v>
      </c>
      <c r="I21" s="36">
        <f t="shared" si="4"/>
        <v>9398.3522727272721</v>
      </c>
      <c r="J21" s="36">
        <f t="shared" si="4"/>
        <v>10442.613636363636</v>
      </c>
      <c r="K21" s="36"/>
      <c r="L21" s="36"/>
    </row>
    <row r="22" spans="2:12" ht="30" customHeight="1" x14ac:dyDescent="0.25">
      <c r="B22" s="34" t="s">
        <v>28</v>
      </c>
      <c r="C22" s="3">
        <f>+C21*11.47</f>
        <v>35933.033522727274</v>
      </c>
      <c r="D22" s="18">
        <f t="shared" ref="D22:J22" si="5">+D21*11.47</f>
        <v>47910.711363636372</v>
      </c>
      <c r="E22" s="18">
        <f t="shared" si="5"/>
        <v>59888.389204545456</v>
      </c>
      <c r="F22" s="18">
        <f t="shared" si="5"/>
        <v>71866.067045454547</v>
      </c>
      <c r="G22" s="18">
        <f t="shared" si="5"/>
        <v>83843.744886363638</v>
      </c>
      <c r="H22" s="18">
        <f t="shared" si="5"/>
        <v>95821.422727272744</v>
      </c>
      <c r="I22" s="18">
        <f t="shared" si="5"/>
        <v>107799.10056818182</v>
      </c>
      <c r="J22" s="18">
        <f t="shared" si="5"/>
        <v>119776.77840909091</v>
      </c>
      <c r="K22" s="18"/>
      <c r="L22" s="3"/>
    </row>
    <row r="23" spans="2:12" ht="30" customHeight="1" x14ac:dyDescent="0.25">
      <c r="B23" s="34" t="s">
        <v>26</v>
      </c>
      <c r="C23" s="3">
        <f>+C16-C22</f>
        <v>145566.96647727274</v>
      </c>
      <c r="D23" s="3">
        <f t="shared" ref="D23:J23" si="6">+D16-D22</f>
        <v>194089.28863636364</v>
      </c>
      <c r="E23" s="3">
        <f t="shared" si="6"/>
        <v>242611.61079545453</v>
      </c>
      <c r="F23" s="3">
        <f t="shared" si="6"/>
        <v>291133.93295454548</v>
      </c>
      <c r="G23" s="3">
        <f t="shared" si="6"/>
        <v>339656.25511363638</v>
      </c>
      <c r="H23" s="3">
        <f t="shared" si="6"/>
        <v>388178.57727272727</v>
      </c>
      <c r="I23" s="3">
        <f t="shared" si="6"/>
        <v>436700.89943181816</v>
      </c>
      <c r="J23" s="3">
        <f t="shared" si="6"/>
        <v>485223.22159090906</v>
      </c>
      <c r="K23" s="3"/>
      <c r="L23" s="3"/>
    </row>
    <row r="24" spans="2:12" ht="30" customHeight="1" thickBot="1" x14ac:dyDescent="0.3">
      <c r="B24" s="34" t="s">
        <v>27</v>
      </c>
      <c r="C24" s="3">
        <f>+C15-C22</f>
        <v>13771.511931818182</v>
      </c>
      <c r="D24" s="3">
        <f t="shared" ref="D24:J24" si="7">+D15-D22</f>
        <v>18362.015909090907</v>
      </c>
      <c r="E24" s="3">
        <f t="shared" si="7"/>
        <v>22952.519886363632</v>
      </c>
      <c r="F24" s="3">
        <f t="shared" si="7"/>
        <v>27543.023863636365</v>
      </c>
      <c r="G24" s="3">
        <f t="shared" si="7"/>
        <v>32133.527840909082</v>
      </c>
      <c r="H24" s="3">
        <f t="shared" si="7"/>
        <v>36724.031818181815</v>
      </c>
      <c r="I24" s="3">
        <f t="shared" si="7"/>
        <v>41314.535795454532</v>
      </c>
      <c r="J24" s="3">
        <f t="shared" si="7"/>
        <v>45905.039772727265</v>
      </c>
      <c r="K24" s="3"/>
      <c r="L24" s="3"/>
    </row>
    <row r="25" spans="2:12" ht="30" customHeight="1" thickTop="1" thickBot="1" x14ac:dyDescent="0.3">
      <c r="B25" s="35" t="s">
        <v>29</v>
      </c>
      <c r="C25" s="36">
        <f>+IF(AND(C24&lt;$C$5,C24&gt;0),C19,0)</f>
        <v>620.71300000000008</v>
      </c>
      <c r="D25" s="36">
        <f t="shared" ref="D25:J25" si="8">+IF(AND(D24&lt;$C$5,D24&gt;0),D19,0)</f>
        <v>1341.5410000000002</v>
      </c>
      <c r="E25" s="36">
        <f t="shared" si="8"/>
        <v>1802.07</v>
      </c>
      <c r="F25" s="36">
        <f t="shared" si="8"/>
        <v>2102.415</v>
      </c>
      <c r="G25" s="36">
        <f t="shared" si="8"/>
        <v>2442.8059999999996</v>
      </c>
      <c r="H25" s="36">
        <f t="shared" si="8"/>
        <v>2122.4380000000001</v>
      </c>
      <c r="I25" s="36">
        <f t="shared" si="8"/>
        <v>2022.3229999999999</v>
      </c>
      <c r="J25" s="36">
        <f t="shared" si="8"/>
        <v>1641.8859999999997</v>
      </c>
      <c r="K25" s="36"/>
      <c r="L25" s="37">
        <f>+SUM(C25:J25)</f>
        <v>14096.192000000001</v>
      </c>
    </row>
    <row r="26" spans="2:12" s="17" customFormat="1" ht="30" customHeight="1" thickTop="1" thickBot="1" x14ac:dyDescent="0.3">
      <c r="B26" s="35" t="s">
        <v>36</v>
      </c>
      <c r="C26" s="36">
        <f>+IF(AND(C24&lt;$C$5,C24&gt;0),C18,0)</f>
        <v>356.40130000000005</v>
      </c>
      <c r="D26" s="36">
        <f t="shared" ref="D26:J26" si="9">+IF(AND(D24&lt;$C$5,D24&gt;0),D18,0)</f>
        <v>427.75</v>
      </c>
      <c r="E26" s="36">
        <f t="shared" si="9"/>
        <v>427.75</v>
      </c>
      <c r="F26" s="36">
        <f t="shared" si="9"/>
        <v>71.348700000000008</v>
      </c>
      <c r="G26" s="36">
        <f t="shared" si="9"/>
        <v>142.52629999999999</v>
      </c>
      <c r="H26" s="36">
        <f t="shared" si="9"/>
        <v>142.52629999999999</v>
      </c>
      <c r="I26" s="36">
        <f t="shared" si="9"/>
        <v>71.348700000000008</v>
      </c>
      <c r="J26" s="36">
        <f t="shared" si="9"/>
        <v>71.348700000000008</v>
      </c>
      <c r="K26" s="36"/>
      <c r="L26" s="38">
        <f>+SUM(C26:J26)</f>
        <v>1711</v>
      </c>
    </row>
    <row r="27" spans="2:12" s="17" customFormat="1" ht="19.5" hidden="1" customHeight="1" thickTop="1" x14ac:dyDescent="0.25">
      <c r="B27" s="29" t="s">
        <v>42</v>
      </c>
      <c r="C27" s="30">
        <v>-2.0555914467092831E-3</v>
      </c>
      <c r="D27" s="30">
        <v>8.491173899099147E-2</v>
      </c>
      <c r="E27" s="30">
        <v>0.13709213725365998</v>
      </c>
      <c r="F27" s="30">
        <v>0.17187906942869216</v>
      </c>
      <c r="G27" s="30">
        <v>0.19672687812517806</v>
      </c>
      <c r="H27" s="30">
        <v>0.21536273464754252</v>
      </c>
      <c r="I27" s="30">
        <v>0.2298572897204926</v>
      </c>
      <c r="J27" s="30">
        <v>0.24145293377885274</v>
      </c>
      <c r="K27" s="30"/>
      <c r="L27" s="31"/>
    </row>
    <row r="28" spans="2:12" s="17" customFormat="1" ht="19.5" hidden="1" customHeight="1" x14ac:dyDescent="0.25">
      <c r="B28" s="29" t="s">
        <v>41</v>
      </c>
      <c r="C28" s="31">
        <f>+C15-(C27*C17*11.47)</f>
        <v>50000</v>
      </c>
      <c r="D28" s="31">
        <f t="shared" ref="D28:J28" si="10">+D15-(D27*D17*11.47)</f>
        <v>50000</v>
      </c>
      <c r="E28" s="31">
        <f t="shared" si="10"/>
        <v>49999.999999988468</v>
      </c>
      <c r="F28" s="31">
        <f t="shared" si="10"/>
        <v>49999.999999999993</v>
      </c>
      <c r="G28" s="31">
        <f t="shared" si="10"/>
        <v>50000</v>
      </c>
      <c r="H28" s="31">
        <f t="shared" si="10"/>
        <v>50000</v>
      </c>
      <c r="I28" s="31">
        <f t="shared" si="10"/>
        <v>50000</v>
      </c>
      <c r="J28" s="31">
        <f t="shared" si="10"/>
        <v>49999.999999999985</v>
      </c>
      <c r="K28" s="31"/>
      <c r="L28" s="31"/>
    </row>
    <row r="29" spans="2:12" ht="15.75" thickTop="1" x14ac:dyDescent="0.25">
      <c r="B29" s="7"/>
    </row>
    <row r="30" spans="2:12" x14ac:dyDescent="0.25">
      <c r="K30" s="9"/>
    </row>
  </sheetData>
  <dataConsolidate/>
  <mergeCells count="3">
    <mergeCell ref="C12:K12"/>
    <mergeCell ref="E4:E5"/>
    <mergeCell ref="E7:E10"/>
  </mergeCells>
  <dataValidations count="2">
    <dataValidation type="list" allowBlank="1" showInputMessage="1" showErrorMessage="1" sqref="C4">
      <formula1>$I$1:$I$3</formula1>
    </dataValidation>
    <dataValidation type="list" allowBlank="1" showInputMessage="1" showErrorMessage="1" sqref="C5">
      <formula1>$J$1:$J$6</formula1>
    </dataValidation>
  </dataValidations>
  <pageMargins left="0.7" right="0.7" top="0.78740157499999996" bottom="0.78740157499999996" header="0.3" footer="0.3"/>
  <pageSetup paperSize="9" scale="52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4"/>
  <sheetViews>
    <sheetView topLeftCell="A22" workbookViewId="0">
      <selection activeCell="F34" sqref="F34"/>
    </sheetView>
  </sheetViews>
  <sheetFormatPr baseColWidth="10" defaultRowHeight="15" x14ac:dyDescent="0.25"/>
  <cols>
    <col min="2" max="2" width="37.85546875" customWidth="1"/>
    <col min="3" max="3" width="38.42578125" customWidth="1"/>
  </cols>
  <sheetData>
    <row r="1" spans="2:12" ht="30" x14ac:dyDescent="0.25">
      <c r="B1" s="6" t="s">
        <v>5</v>
      </c>
      <c r="C1" s="4">
        <f>Szenariorechner!C17*Szenariorechner!C19</f>
        <v>7778239.2456818195</v>
      </c>
      <c r="D1" s="4">
        <f>Szenariorechner!D17*Szenariorechner!D19</f>
        <v>22414710.944545459</v>
      </c>
      <c r="E1" s="4">
        <f>Szenariorechner!E17*Szenariorechner!E19</f>
        <v>37636641.511363633</v>
      </c>
      <c r="F1" s="4">
        <f>Szenariorechner!F17*Szenariorechner!F19</f>
        <v>52691298.115909092</v>
      </c>
      <c r="G1" s="4">
        <f>Szenariorechner!G17*Szenariorechner!G19</f>
        <v>71425981.890454531</v>
      </c>
      <c r="H1" s="4">
        <f>Szenariorechner!H17*Szenariorechner!H19</f>
        <v>70924160.003636375</v>
      </c>
      <c r="I1" s="4">
        <f>Szenariorechner!I17*Szenariorechner!I19</f>
        <v>76026015.852954537</v>
      </c>
      <c r="J1" s="4">
        <f>Szenariorechner!J17*Szenariorechner!J19</f>
        <v>68582324.531818166</v>
      </c>
      <c r="L1" s="4">
        <f>SUM(C1:K1)</f>
        <v>407479372.09636354</v>
      </c>
    </row>
    <row r="3" spans="2:12" ht="30" x14ac:dyDescent="0.25">
      <c r="B3" s="6" t="s">
        <v>2</v>
      </c>
      <c r="C3" s="5">
        <f>Szenariorechner!C13/2220000</f>
        <v>0.33783783783783783</v>
      </c>
      <c r="D3" s="5">
        <f>Szenariorechner!D13/2220000</f>
        <v>0.45045045045045046</v>
      </c>
      <c r="E3" s="5">
        <f>Szenariorechner!E13/2220000</f>
        <v>0.56306306306306309</v>
      </c>
      <c r="F3" s="5">
        <f>Szenariorechner!F13/2220000</f>
        <v>0.67567567567567566</v>
      </c>
      <c r="G3" s="5">
        <f>Szenariorechner!G13/2220000</f>
        <v>0.78828828828828834</v>
      </c>
      <c r="H3" s="5">
        <f>Szenariorechner!H13/2220000</f>
        <v>0.90090090090090091</v>
      </c>
      <c r="I3" s="5">
        <f>Szenariorechner!I13/2220000</f>
        <v>1.0135135135135136</v>
      </c>
      <c r="J3" s="5">
        <f>Szenariorechner!J13/2220000</f>
        <v>1.1261261261261262</v>
      </c>
    </row>
    <row r="5" spans="2:12" ht="30" x14ac:dyDescent="0.25">
      <c r="B5" s="6" t="s">
        <v>8</v>
      </c>
    </row>
    <row r="6" spans="2:12" x14ac:dyDescent="0.25">
      <c r="B6" s="8">
        <f>736000000/20023</f>
        <v>36757.728612096093</v>
      </c>
      <c r="D6" s="5"/>
      <c r="J6" s="4"/>
    </row>
    <row r="8" spans="2:12" x14ac:dyDescent="0.25">
      <c r="B8" s="6" t="s">
        <v>0</v>
      </c>
    </row>
    <row r="9" spans="2:12" x14ac:dyDescent="0.25">
      <c r="B9">
        <v>2200000</v>
      </c>
    </row>
    <row r="11" spans="2:12" ht="51.75" customHeight="1" x14ac:dyDescent="0.25">
      <c r="B11" s="6" t="s">
        <v>3</v>
      </c>
    </row>
    <row r="12" spans="2:12" x14ac:dyDescent="0.25">
      <c r="B12" s="4">
        <f>20023-Szenariorechner!K19</f>
        <v>14096.191999999999</v>
      </c>
    </row>
    <row r="14" spans="2:12" ht="51.75" customHeight="1" x14ac:dyDescent="0.25">
      <c r="B14" s="6" t="s">
        <v>15</v>
      </c>
    </row>
    <row r="16" spans="2:12" x14ac:dyDescent="0.25">
      <c r="B16" s="9">
        <v>0.13200000000000001</v>
      </c>
    </row>
    <row r="18" spans="2:3" ht="51.75" customHeight="1" x14ac:dyDescent="0.25">
      <c r="B18" s="6" t="s">
        <v>14</v>
      </c>
    </row>
    <row r="20" spans="2:3" x14ac:dyDescent="0.25">
      <c r="B20" t="s">
        <v>9</v>
      </c>
      <c r="C20" s="9">
        <v>0.193</v>
      </c>
    </row>
    <row r="21" spans="2:3" x14ac:dyDescent="0.25">
      <c r="B21" t="s">
        <v>10</v>
      </c>
      <c r="C21" s="9">
        <v>0.60199999999999998</v>
      </c>
    </row>
    <row r="22" spans="2:3" x14ac:dyDescent="0.25">
      <c r="B22" t="s">
        <v>11</v>
      </c>
      <c r="C22" s="9">
        <v>0.17399999999999999</v>
      </c>
    </row>
    <row r="23" spans="2:3" x14ac:dyDescent="0.25">
      <c r="B23" t="s">
        <v>12</v>
      </c>
      <c r="C23" s="9">
        <v>3.1E-2</v>
      </c>
    </row>
    <row r="24" spans="2:3" x14ac:dyDescent="0.25">
      <c r="B24" t="s">
        <v>13</v>
      </c>
      <c r="C24" s="9">
        <f>SUM(C20:C23)</f>
        <v>0.99999999999999989</v>
      </c>
    </row>
    <row r="26" spans="2:3" ht="51.75" customHeight="1" x14ac:dyDescent="0.25">
      <c r="B26" s="6" t="s">
        <v>16</v>
      </c>
    </row>
    <row r="28" spans="2:3" x14ac:dyDescent="0.25">
      <c r="B28" t="s">
        <v>9</v>
      </c>
      <c r="C28" s="9">
        <v>0.216</v>
      </c>
    </row>
    <row r="29" spans="2:3" x14ac:dyDescent="0.25">
      <c r="B29" t="s">
        <v>10</v>
      </c>
      <c r="C29" s="9">
        <v>0.61199999999999999</v>
      </c>
    </row>
    <row r="30" spans="2:3" x14ac:dyDescent="0.25">
      <c r="B30" t="s">
        <v>11</v>
      </c>
      <c r="C30" s="9">
        <v>0.158</v>
      </c>
    </row>
    <row r="31" spans="2:3" x14ac:dyDescent="0.25">
      <c r="B31" t="s">
        <v>12</v>
      </c>
      <c r="C31" s="9">
        <v>1.4E-2</v>
      </c>
    </row>
    <row r="32" spans="2:3" x14ac:dyDescent="0.25">
      <c r="B32" t="s">
        <v>13</v>
      </c>
      <c r="C32" s="9">
        <f>SUM(C28:C31)</f>
        <v>1</v>
      </c>
    </row>
    <row r="33" spans="2:6" ht="44.25" customHeight="1" x14ac:dyDescent="0.25"/>
    <row r="34" spans="2:6" ht="30.75" customHeight="1" x14ac:dyDescent="0.25">
      <c r="B34" s="55" t="s">
        <v>46</v>
      </c>
      <c r="C34" s="56"/>
      <c r="D34" s="56"/>
      <c r="E34" s="56"/>
    </row>
    <row r="35" spans="2:6" ht="30.75" thickBot="1" x14ac:dyDescent="0.3">
      <c r="B35" s="45" t="s">
        <v>43</v>
      </c>
      <c r="C35" s="51" t="s">
        <v>44</v>
      </c>
      <c r="D35" s="45" t="s">
        <v>17</v>
      </c>
      <c r="E35" s="45" t="s">
        <v>45</v>
      </c>
    </row>
    <row r="36" spans="2:6" x14ac:dyDescent="0.25">
      <c r="B36" s="49">
        <v>750000</v>
      </c>
      <c r="C36" s="47">
        <v>48000</v>
      </c>
      <c r="D36" s="43">
        <v>5</v>
      </c>
      <c r="E36" s="44">
        <v>0.20830000000000001</v>
      </c>
      <c r="F36" s="10"/>
    </row>
    <row r="37" spans="2:6" x14ac:dyDescent="0.25">
      <c r="B37" s="50">
        <v>1000000</v>
      </c>
      <c r="C37" s="48">
        <v>64000</v>
      </c>
      <c r="D37" s="40">
        <v>6</v>
      </c>
      <c r="E37" s="41">
        <v>0.25</v>
      </c>
      <c r="F37" s="10"/>
    </row>
    <row r="38" spans="2:6" x14ac:dyDescent="0.25">
      <c r="B38" s="50">
        <v>1250000</v>
      </c>
      <c r="C38" s="48">
        <v>80000</v>
      </c>
      <c r="D38" s="40">
        <v>6</v>
      </c>
      <c r="E38" s="41">
        <v>0.25</v>
      </c>
      <c r="F38" s="10"/>
    </row>
    <row r="39" spans="2:6" x14ac:dyDescent="0.25">
      <c r="B39" s="50">
        <v>1500000</v>
      </c>
      <c r="C39" s="48">
        <v>96000</v>
      </c>
      <c r="D39" s="40">
        <v>1</v>
      </c>
      <c r="E39" s="41">
        <v>4.1700000000000001E-2</v>
      </c>
      <c r="F39" s="10"/>
    </row>
    <row r="40" spans="2:6" x14ac:dyDescent="0.25">
      <c r="B40" s="50">
        <v>1750000</v>
      </c>
      <c r="C40" s="48">
        <v>112000</v>
      </c>
      <c r="D40" s="40">
        <v>2</v>
      </c>
      <c r="E40" s="41">
        <v>8.3299999999999999E-2</v>
      </c>
      <c r="F40" s="10"/>
    </row>
    <row r="41" spans="2:6" x14ac:dyDescent="0.25">
      <c r="B41" s="50">
        <v>2000000</v>
      </c>
      <c r="C41" s="48">
        <v>128000</v>
      </c>
      <c r="D41" s="40">
        <v>2</v>
      </c>
      <c r="E41" s="41">
        <v>8.3299999999999999E-2</v>
      </c>
      <c r="F41" s="10"/>
    </row>
    <row r="42" spans="2:6" x14ac:dyDescent="0.25">
      <c r="B42" s="50">
        <v>2250000</v>
      </c>
      <c r="C42" s="48">
        <v>144000</v>
      </c>
      <c r="D42" s="40">
        <v>1</v>
      </c>
      <c r="E42" s="41">
        <v>4.1700000000000001E-2</v>
      </c>
      <c r="F42" s="10"/>
    </row>
    <row r="43" spans="2:6" x14ac:dyDescent="0.25">
      <c r="B43" s="50">
        <v>2500000</v>
      </c>
      <c r="C43" s="48">
        <v>160000</v>
      </c>
      <c r="D43" s="40">
        <v>1</v>
      </c>
      <c r="E43" s="41">
        <v>4.1700000000000001E-2</v>
      </c>
      <c r="F43" s="10"/>
    </row>
    <row r="44" spans="2:6" x14ac:dyDescent="0.25">
      <c r="B44" s="40" t="s">
        <v>13</v>
      </c>
      <c r="C44" s="46"/>
      <c r="D44" s="42">
        <f>SUM(D36:D43)</f>
        <v>24</v>
      </c>
      <c r="E44" s="41">
        <f>SUM(E36:E43)</f>
        <v>1</v>
      </c>
      <c r="F44" s="10"/>
    </row>
  </sheetData>
  <mergeCells count="1">
    <mergeCell ref="B34:E34"/>
  </mergeCells>
  <pageMargins left="0.7" right="0.7" top="0.78740157499999996" bottom="0.78740157499999996" header="0.3" footer="0.3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Szenariorechner</vt:lpstr>
      <vt:lpstr>NR</vt:lpstr>
      <vt:lpstr>Break even Analyse</vt:lpstr>
      <vt:lpstr>Szenariorechner!Druckbereich</vt:lpstr>
    </vt:vector>
  </TitlesOfParts>
  <Company>Jenoptik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Bauer, Alexander</dc:creator>
  <cp:lastModifiedBy>Jantos, Lycien</cp:lastModifiedBy>
  <cp:lastPrinted>2017-08-21T15:45:41Z</cp:lastPrinted>
  <dcterms:created xsi:type="dcterms:W3CDTF">2017-06-16T15:34:46Z</dcterms:created>
  <dcterms:modified xsi:type="dcterms:W3CDTF">2017-08-24T14:40:17Z</dcterms:modified>
</cp:coreProperties>
</file>